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690" windowHeight="6405" tabRatio="751" firstSheet="1" activeTab="1"/>
  </bookViews>
  <sheets>
    <sheet name="00000" sheetId="1" state="veryHidden" r:id="rId1"/>
    <sheet name="Qtr.P&amp;L" sheetId="2" r:id="rId2"/>
    <sheet name="Qtr.B.S" sheetId="3" r:id="rId3"/>
    <sheet name="Cashflow" sheetId="4" r:id="rId4"/>
    <sheet name="Equity" sheetId="5" r:id="rId5"/>
  </sheets>
  <definedNames/>
  <calcPr fullCalcOnLoad="1"/>
</workbook>
</file>

<file path=xl/sharedStrings.xml><?xml version="1.0" encoding="utf-8"?>
<sst xmlns="http://schemas.openxmlformats.org/spreadsheetml/2006/main" count="175" uniqueCount="148">
  <si>
    <t>Share capital</t>
  </si>
  <si>
    <t>Revenue</t>
  </si>
  <si>
    <t>Other operating income</t>
  </si>
  <si>
    <t>Profit from operations</t>
  </si>
  <si>
    <t>Profit before tax</t>
  </si>
  <si>
    <t>Minority interest</t>
  </si>
  <si>
    <t>PMB Technology Berhad</t>
  </si>
  <si>
    <t>Share premium</t>
  </si>
  <si>
    <t>Total</t>
  </si>
  <si>
    <t>RM'000</t>
  </si>
  <si>
    <t>Operating expenses</t>
  </si>
  <si>
    <t>Current assets</t>
  </si>
  <si>
    <t>Share Capital</t>
  </si>
  <si>
    <t>Net tangible assets per share (sen)</t>
  </si>
  <si>
    <t>Exceptional gain **</t>
  </si>
  <si>
    <t>Taxation</t>
  </si>
  <si>
    <t>CONDENSED CONSOLIDATED BALANCE SHEETS</t>
  </si>
  <si>
    <t>Financed by</t>
  </si>
  <si>
    <t>Net Current Assets</t>
  </si>
  <si>
    <t>Current Liabilities</t>
  </si>
  <si>
    <t>Share Premium</t>
  </si>
  <si>
    <t>(The Condensed Consolidated Balance Sheets should be read in conjunction with the Annual Financial</t>
  </si>
  <si>
    <t>Statements for the year ended 31 December 2003)</t>
  </si>
  <si>
    <t xml:space="preserve">      Profit before taxation</t>
  </si>
  <si>
    <t xml:space="preserve">      Adjustment for:</t>
  </si>
  <si>
    <t xml:space="preserve">          Amortisation of negative goodwill</t>
  </si>
  <si>
    <t xml:space="preserve">          Amortisation of goodwill</t>
  </si>
  <si>
    <t xml:space="preserve">          Interest expense</t>
  </si>
  <si>
    <t xml:space="preserve">      Operating profit/(loss) before working capital changes</t>
  </si>
  <si>
    <t xml:space="preserve">      Changes in working capital:</t>
  </si>
  <si>
    <t xml:space="preserve">      Cash generated from / (used in) operations</t>
  </si>
  <si>
    <t xml:space="preserve">      Income taxes paid</t>
  </si>
  <si>
    <t xml:space="preserve">      Interest expenses paid</t>
  </si>
  <si>
    <t xml:space="preserve">      Purchase of property, plant and equipment</t>
  </si>
  <si>
    <t>CONDENSED CONSOLIDATED STATEMENTS OF CHANGES IN EQUITY</t>
  </si>
  <si>
    <t>Retained Profits</t>
  </si>
  <si>
    <t>CONDENSED CONSOLIDATED INCOME STATEMENTS</t>
  </si>
  <si>
    <t xml:space="preserve">       Other receivables, deposits and prepayments</t>
  </si>
  <si>
    <t xml:space="preserve">       Amount due from related companies</t>
  </si>
  <si>
    <t xml:space="preserve">       Cash and bank balances</t>
  </si>
  <si>
    <t xml:space="preserve">       Other payables and accruals</t>
  </si>
  <si>
    <t xml:space="preserve">       Taxations</t>
  </si>
  <si>
    <t xml:space="preserve">          Depreciation</t>
  </si>
  <si>
    <t xml:space="preserve">           Inventories</t>
  </si>
  <si>
    <t xml:space="preserve">           Trade and other receivables</t>
  </si>
  <si>
    <t xml:space="preserve">           Trade and other payables</t>
  </si>
  <si>
    <t>CASH FLOWS FROM OPERATING ACTIVITIES</t>
  </si>
  <si>
    <t>CASH FLOWS FROM INVESTING ACTIVITIES</t>
  </si>
  <si>
    <t>CASH FLOW FROM FINANCING ACTIVITIES</t>
  </si>
  <si>
    <t>CASH AND CASH EQUIVALENTS AT BEGINNING OF PERIOD</t>
  </si>
  <si>
    <t>CASH AND CASH EQUIVALENTS AT END OF PERIOD</t>
  </si>
  <si>
    <t xml:space="preserve">      Net cash generated from / (used in) investing activities</t>
  </si>
  <si>
    <t>Annual Financial Statements for the year ended 31 December 2003)</t>
  </si>
  <si>
    <t>(The Condensed Consolidated Statements of Changes in Equity should be read in conjunction with the</t>
  </si>
  <si>
    <t>CONDENSED CONSOLIDATED CASH FLOW STATEMENTS</t>
  </si>
  <si>
    <t>(The Condensed Consolidated Cash Flow Statements should be read in conjunction with the Annual Financial</t>
  </si>
  <si>
    <t>(Company No.584257-X)</t>
  </si>
  <si>
    <t>QUARTER</t>
  </si>
  <si>
    <t xml:space="preserve">PRECEDING </t>
  </si>
  <si>
    <t xml:space="preserve"> </t>
  </si>
  <si>
    <t>CURRENT YEAR</t>
  </si>
  <si>
    <t>TO DATE</t>
  </si>
  <si>
    <t>PRECEDING YEAR</t>
  </si>
  <si>
    <t xml:space="preserve">             CUMULATIVE QUARTER</t>
  </si>
  <si>
    <t xml:space="preserve">PRECEDING YEAR </t>
  </si>
  <si>
    <t xml:space="preserve">CURRENT </t>
  </si>
  <si>
    <t>AS AT</t>
  </si>
  <si>
    <t xml:space="preserve">AS AT </t>
  </si>
  <si>
    <t>FINANCIAL</t>
  </si>
  <si>
    <t>YEAR END</t>
  </si>
  <si>
    <t>At 30 September 2003</t>
  </si>
  <si>
    <t>*</t>
  </si>
  <si>
    <t>Issue of shares</t>
  </si>
  <si>
    <t>Share issue expenses incurred</t>
  </si>
  <si>
    <t>Net profit for the year</t>
  </si>
  <si>
    <t>At 31 December 2003</t>
  </si>
  <si>
    <t>*   RM2</t>
  </si>
  <si>
    <t>FOR THE</t>
  </si>
  <si>
    <t xml:space="preserve">     Net cash generated from / (used in) financing activities</t>
  </si>
  <si>
    <t>NET INCREASE / (DECREASE) IN CASH AND CASH EQUIVALENTS</t>
  </si>
  <si>
    <t xml:space="preserve">                INDIVIDUAL QUARTER</t>
  </si>
  <si>
    <t xml:space="preserve">      Payment of share issue expenses</t>
  </si>
  <si>
    <t>Deferred taxation</t>
  </si>
  <si>
    <t>Finance costs</t>
  </si>
  <si>
    <t>Profit after tax</t>
  </si>
  <si>
    <t>Net profit for the period</t>
  </si>
  <si>
    <t>Basic earning per share</t>
  </si>
  <si>
    <t>Property, plant and equipment</t>
  </si>
  <si>
    <t>Goodwill</t>
  </si>
  <si>
    <t xml:space="preserve">       Inventories and amount due from contract customers</t>
  </si>
  <si>
    <t xml:space="preserve">       Trade receivables</t>
  </si>
  <si>
    <t xml:space="preserve">       Trade payables</t>
  </si>
  <si>
    <t xml:space="preserve">       Hire purchase &amp; finance lease liabilities </t>
  </si>
  <si>
    <t xml:space="preserve">       Overdraft &amp; short term borrowings</t>
  </si>
  <si>
    <t>Retained profit</t>
  </si>
  <si>
    <t>Shareholders' funds</t>
  </si>
  <si>
    <t>Minority interests</t>
  </si>
  <si>
    <t>Negative goodwill</t>
  </si>
  <si>
    <t>Hire purchase and finance lease creditors</t>
  </si>
  <si>
    <t>The Cash &amp; cash equivalents comprise:</t>
  </si>
  <si>
    <t>Cash &amp; bank balances</t>
  </si>
  <si>
    <t>Bank overdraft</t>
  </si>
  <si>
    <t>Movement during the period</t>
  </si>
  <si>
    <t xml:space="preserve">      Dividends</t>
  </si>
  <si>
    <t xml:space="preserve">      -   Final dividend payable for the </t>
  </si>
  <si>
    <t xml:space="preserve">          financial year ended 31 Dec 2003</t>
  </si>
  <si>
    <t xml:space="preserve">     -   Interim dividend payable for the</t>
  </si>
  <si>
    <t xml:space="preserve">         financial year ending 31 Dec 2004</t>
  </si>
  <si>
    <t xml:space="preserve">      Proceeds from issuance of shares</t>
  </si>
  <si>
    <t xml:space="preserve">      Proceeds from/ (payment to) hire purchase creditors</t>
  </si>
  <si>
    <t xml:space="preserve">      Proceeds from/ (repayment of) bank borrowings</t>
  </si>
  <si>
    <t>Term loan</t>
  </si>
  <si>
    <t xml:space="preserve">       Term loan</t>
  </si>
  <si>
    <t xml:space="preserve">      Dividends paid</t>
  </si>
  <si>
    <t>Share of loss in associate</t>
  </si>
  <si>
    <t xml:space="preserve">* As the acquisition date of PMB Façade Technology Sdn Bhd and Everlast Aluminium (M) Sdn Bhd was on </t>
  </si>
  <si>
    <t>** Being the amortization of the negative goodwill arising from the acquisition of PMB Façade Technology Sdn</t>
  </si>
  <si>
    <t xml:space="preserve">    Bhd and Everlast Aluminium (M) Sdn Bhd prior to the listing exercise over a weighted average of 7 years.</t>
  </si>
  <si>
    <t xml:space="preserve">(The Condensed Consolidated Income Statements should be read in conjunction with the Annual </t>
  </si>
  <si>
    <t>Financial Statements for the year ended 31 December 2003)</t>
  </si>
  <si>
    <t>31 DEC 2004</t>
  </si>
  <si>
    <t>Investment</t>
  </si>
  <si>
    <t>(based on 80,000,000 ordinary shares</t>
  </si>
  <si>
    <t>of RM0.50 each)</t>
  </si>
  <si>
    <t>At 31 December 2004</t>
  </si>
  <si>
    <t xml:space="preserve">      Purcahse of unquoted investment</t>
  </si>
  <si>
    <t xml:space="preserve">      Proceeds from term loan</t>
  </si>
  <si>
    <t>*31 DEC 2003</t>
  </si>
  <si>
    <t>31 DEC 2003</t>
  </si>
  <si>
    <t xml:space="preserve">  of ordinary shares of RM0.50 each (sen)</t>
  </si>
  <si>
    <t>- based on 80,000,000 weighted average number</t>
  </si>
  <si>
    <t>- based on 22,795,000 weighted average number</t>
  </si>
  <si>
    <t>YEAR ENDED</t>
  </si>
  <si>
    <t xml:space="preserve">          Loss/(Gain) on disposal of property, plant and equipment</t>
  </si>
  <si>
    <t xml:space="preserve">          Loss/(Gain) on disposal of a subsidiary</t>
  </si>
  <si>
    <t xml:space="preserve">          Share of profit of associate</t>
  </si>
  <si>
    <t xml:space="preserve">      Proceeds from disposal of property, plant and equipment</t>
  </si>
  <si>
    <t xml:space="preserve">      Acquisition of subsidiary</t>
  </si>
  <si>
    <t xml:space="preserve">      Disposal of subsidiary</t>
  </si>
  <si>
    <t>CURRENT</t>
  </si>
  <si>
    <t>PRECEDING</t>
  </si>
  <si>
    <t xml:space="preserve">          Interest income</t>
  </si>
  <si>
    <t xml:space="preserve">          Unrealised gain on foreign exchange</t>
  </si>
  <si>
    <t xml:space="preserve">      Interest received</t>
  </si>
  <si>
    <t xml:space="preserve">      Increase in placement of deposits pledged as security</t>
  </si>
  <si>
    <t xml:space="preserve">      Net cash generated from / (used in) operating activities</t>
  </si>
  <si>
    <t>Fixed deposit placed with licensed banks</t>
  </si>
  <si>
    <t xml:space="preserve">  12 September 2003 and thus only three and half months results were included in the consolidated results.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</si>
</sst>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0.000%"/>
    <numFmt numFmtId="175" formatCode="0.00_)"/>
    <numFmt numFmtId="176" formatCode="#,##0.000_);[Red]\(#,##0.000\)"/>
    <numFmt numFmtId="177" formatCode="0%;\(0%\)"/>
    <numFmt numFmtId="178" formatCode="_(* #,##0.00_);_(* \(#,##0.00\);_(* &quot;-&quot;_);_(@_)"/>
    <numFmt numFmtId="179" formatCode="_(* #,##0.0_);_(* \(#,##0.0\);_(* &quot;-&quot;?_);_(@_)"/>
    <numFmt numFmtId="180" formatCode="_-* #,##0.0_-;\-* #,##0.0_-;_-* &quot;-&quot;??_-;_-@_-"/>
    <numFmt numFmtId="181" formatCode="_(* #,##0.000_);_(* \(#,##0.000\);_(* &quot;-&quot;???_);_(@_)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.0000_);_(* \(#,##0.0000\);_(* &quot;-&quot;??_);_(@_)"/>
    <numFmt numFmtId="186" formatCode="0.0%"/>
    <numFmt numFmtId="187" formatCode="_-* #,##0.000000_-;\-* #,##0.000000_-;_-* &quot;-&quot;??_-;_-@_-"/>
    <numFmt numFmtId="188" formatCode="#,##0.0_);\(#,##0.0\)"/>
    <numFmt numFmtId="189" formatCode="0.00_);\(0.00\)"/>
    <numFmt numFmtId="190" formatCode="0.0_);\(0.0\)"/>
    <numFmt numFmtId="191" formatCode="0_);\(0\)"/>
    <numFmt numFmtId="192" formatCode="_(* #,##0.0_);_(* \(#,##0.0\);_(* &quot;-&quot;??_);_(@_)"/>
  </numFmts>
  <fonts count="12">
    <font>
      <sz val="10"/>
      <name val="Arial"/>
      <family val="0"/>
    </font>
    <font>
      <sz val="11"/>
      <name val="Book Antiqua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1" fillId="0" borderId="0">
      <alignment/>
      <protection locked="0"/>
    </xf>
    <xf numFmtId="176" fontId="0" fillId="0" borderId="0">
      <alignment/>
      <protection locked="0"/>
    </xf>
    <xf numFmtId="0" fontId="5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0" fontId="2" fillId="0" borderId="0" applyNumberFormat="0" applyFill="0" applyBorder="0" applyAlignment="0" applyProtection="0"/>
    <xf numFmtId="175" fontId="3" fillId="0" borderId="0">
      <alignment/>
      <protection/>
    </xf>
    <xf numFmtId="9" fontId="0" fillId="0" borderId="0" applyFont="0" applyFill="0" applyBorder="0" applyAlignment="0" applyProtection="0"/>
    <xf numFmtId="174" fontId="0" fillId="0" borderId="1">
      <alignment/>
      <protection locked="0"/>
    </xf>
    <xf numFmtId="0" fontId="4" fillId="0" borderId="0">
      <alignment/>
      <protection/>
    </xf>
    <xf numFmtId="171" fontId="4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6" fillId="0" borderId="0" xfId="15" applyNumberFormat="1" applyFont="1" applyAlignment="1">
      <alignment/>
    </xf>
    <xf numFmtId="0" fontId="6" fillId="0" borderId="0" xfId="0" applyFont="1" applyAlignment="1" quotePrefix="1">
      <alignment/>
    </xf>
    <xf numFmtId="172" fontId="6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37" fontId="6" fillId="0" borderId="0" xfId="15" applyNumberFormat="1" applyFont="1" applyAlignment="1">
      <alignment/>
    </xf>
    <xf numFmtId="171" fontId="6" fillId="0" borderId="0" xfId="15" applyFont="1" applyAlignment="1">
      <alignment/>
    </xf>
    <xf numFmtId="172" fontId="6" fillId="0" borderId="0" xfId="15" applyNumberFormat="1" applyFont="1" applyBorder="1" applyAlignment="1">
      <alignment/>
    </xf>
    <xf numFmtId="171" fontId="6" fillId="0" borderId="0" xfId="15" applyFont="1" applyBorder="1" applyAlignment="1">
      <alignment/>
    </xf>
    <xf numFmtId="37" fontId="6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37" fontId="6" fillId="0" borderId="2" xfId="15" applyNumberFormat="1" applyFont="1" applyBorder="1" applyAlignment="1">
      <alignment/>
    </xf>
    <xf numFmtId="172" fontId="6" fillId="0" borderId="2" xfId="15" applyNumberFormat="1" applyFont="1" applyBorder="1" applyAlignment="1">
      <alignment/>
    </xf>
    <xf numFmtId="172" fontId="6" fillId="0" borderId="3" xfId="15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7" fillId="0" borderId="0" xfId="15" applyNumberFormat="1" applyFont="1" applyAlignment="1">
      <alignment horizontal="center"/>
    </xf>
    <xf numFmtId="172" fontId="6" fillId="0" borderId="0" xfId="15" applyNumberFormat="1" applyFont="1" applyAlignment="1">
      <alignment/>
    </xf>
    <xf numFmtId="172" fontId="6" fillId="0" borderId="4" xfId="15" applyNumberFormat="1" applyFont="1" applyBorder="1" applyAlignment="1">
      <alignment/>
    </xf>
    <xf numFmtId="37" fontId="6" fillId="0" borderId="0" xfId="15" applyNumberFormat="1" applyFont="1" applyAlignment="1">
      <alignment horizontal="right"/>
    </xf>
    <xf numFmtId="172" fontId="6" fillId="0" borderId="0" xfId="15" applyNumberFormat="1" applyFont="1" applyAlignment="1">
      <alignment horizontal="center"/>
    </xf>
    <xf numFmtId="37" fontId="6" fillId="0" borderId="0" xfId="15" applyNumberFormat="1" applyFont="1" applyAlignment="1">
      <alignment/>
    </xf>
    <xf numFmtId="172" fontId="6" fillId="0" borderId="0" xfId="15" applyNumberFormat="1" applyFont="1" applyAlignment="1">
      <alignment horizontal="righ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172" fontId="6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5" fontId="7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72" fontId="6" fillId="0" borderId="8" xfId="15" applyNumberFormat="1" applyFont="1" applyFill="1" applyBorder="1" applyAlignment="1">
      <alignment/>
    </xf>
    <xf numFmtId="172" fontId="6" fillId="0" borderId="9" xfId="15" applyNumberFormat="1" applyFont="1" applyFill="1" applyBorder="1" applyAlignment="1">
      <alignment/>
    </xf>
    <xf numFmtId="172" fontId="6" fillId="0" borderId="10" xfId="15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172" fontId="6" fillId="0" borderId="1" xfId="15" applyNumberFormat="1" applyFont="1" applyFill="1" applyBorder="1" applyAlignment="1">
      <alignment/>
    </xf>
    <xf numFmtId="172" fontId="6" fillId="0" borderId="0" xfId="15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15" fontId="7" fillId="0" borderId="0" xfId="0" applyNumberFormat="1" applyFont="1" applyAlignment="1" quotePrefix="1">
      <alignment horizontal="center"/>
    </xf>
    <xf numFmtId="15" fontId="7" fillId="0" borderId="0" xfId="0" applyNumberFormat="1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37" fontId="6" fillId="0" borderId="0" xfId="15" applyNumberFormat="1" applyFont="1" applyFill="1" applyAlignment="1">
      <alignment/>
    </xf>
    <xf numFmtId="37" fontId="6" fillId="0" borderId="0" xfId="15" applyNumberFormat="1" applyFont="1" applyFill="1" applyBorder="1" applyAlignment="1">
      <alignment/>
    </xf>
    <xf numFmtId="37" fontId="6" fillId="0" borderId="4" xfId="15" applyNumberFormat="1" applyFont="1" applyFill="1" applyBorder="1" applyAlignment="1">
      <alignment/>
    </xf>
    <xf numFmtId="37" fontId="7" fillId="0" borderId="11" xfId="15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171" fontId="6" fillId="0" borderId="0" xfId="15" applyFont="1" applyFill="1" applyAlignment="1">
      <alignment/>
    </xf>
    <xf numFmtId="37" fontId="7" fillId="0" borderId="1" xfId="15" applyNumberFormat="1" applyFont="1" applyFill="1" applyBorder="1" applyAlignment="1">
      <alignment/>
    </xf>
    <xf numFmtId="15" fontId="7" fillId="0" borderId="0" xfId="0" applyNumberFormat="1" applyFont="1" applyAlignment="1">
      <alignment horizontal="center"/>
    </xf>
    <xf numFmtId="171" fontId="6" fillId="0" borderId="10" xfId="15" applyFont="1" applyFill="1" applyBorder="1" applyAlignment="1">
      <alignment/>
    </xf>
    <xf numFmtId="0" fontId="6" fillId="0" borderId="0" xfId="0" applyFont="1" applyBorder="1" applyAlignment="1">
      <alignment/>
    </xf>
    <xf numFmtId="171" fontId="6" fillId="0" borderId="2" xfId="15" applyFont="1" applyBorder="1" applyAlignment="1">
      <alignment/>
    </xf>
    <xf numFmtId="171" fontId="6" fillId="0" borderId="0" xfId="15" applyFont="1" applyAlignment="1">
      <alignment/>
    </xf>
    <xf numFmtId="37" fontId="6" fillId="0" borderId="0" xfId="0" applyNumberFormat="1" applyFont="1" applyFill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  <cellStyle name="一般_Book1" xfId="28"/>
    <cellStyle name="千分位_Book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defaultGridColor="0" zoomScaleSheetLayoutView="68" colorId="1" workbookViewId="0" topLeftCell="B2051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B36">
      <selection activeCell="D38" sqref="D38"/>
    </sheetView>
  </sheetViews>
  <sheetFormatPr defaultColWidth="9.140625" defaultRowHeight="12.75"/>
  <cols>
    <col min="1" max="1" width="44.57421875" style="3" customWidth="1"/>
    <col min="2" max="2" width="18.421875" style="3" customWidth="1"/>
    <col min="3" max="3" width="1.8515625" style="3" customWidth="1"/>
    <col min="4" max="4" width="21.140625" style="3" customWidth="1"/>
    <col min="5" max="5" width="1.7109375" style="3" customWidth="1"/>
    <col min="6" max="6" width="18.57421875" style="3" customWidth="1"/>
    <col min="7" max="7" width="1.421875" style="3" customWidth="1"/>
    <col min="8" max="8" width="19.8515625" style="3" customWidth="1"/>
    <col min="9" max="16384" width="9.140625" style="3" customWidth="1"/>
  </cols>
  <sheetData>
    <row r="1" ht="18.75">
      <c r="A1" s="19" t="s">
        <v>6</v>
      </c>
    </row>
    <row r="2" ht="15.75">
      <c r="A2" s="20" t="s">
        <v>56</v>
      </c>
    </row>
    <row r="3" ht="15.75">
      <c r="A3" s="9"/>
    </row>
    <row r="4" ht="15.75">
      <c r="A4" s="4" t="s">
        <v>36</v>
      </c>
    </row>
    <row r="5" ht="15.75">
      <c r="A5" s="4"/>
    </row>
    <row r="6" ht="16.5" thickBot="1">
      <c r="A6" s="4"/>
    </row>
    <row r="7" spans="1:8" ht="16.5" thickBot="1">
      <c r="A7" s="3" t="s">
        <v>59</v>
      </c>
      <c r="B7" s="31" t="s">
        <v>80</v>
      </c>
      <c r="C7" s="29"/>
      <c r="D7" s="30"/>
      <c r="E7" s="4"/>
      <c r="F7" s="28" t="s">
        <v>63</v>
      </c>
      <c r="G7" s="29"/>
      <c r="H7" s="30"/>
    </row>
    <row r="8" spans="2:8" ht="15.75">
      <c r="B8" s="5" t="s">
        <v>60</v>
      </c>
      <c r="C8" s="5"/>
      <c r="D8" s="5" t="s">
        <v>64</v>
      </c>
      <c r="E8" s="5"/>
      <c r="F8" s="5" t="s">
        <v>60</v>
      </c>
      <c r="G8" s="5"/>
      <c r="H8" s="5" t="s">
        <v>62</v>
      </c>
    </row>
    <row r="9" spans="2:8" ht="15.75">
      <c r="B9" s="5" t="s">
        <v>57</v>
      </c>
      <c r="C9" s="5"/>
      <c r="D9" s="5" t="s">
        <v>57</v>
      </c>
      <c r="E9" s="5"/>
      <c r="F9" s="5" t="s">
        <v>61</v>
      </c>
      <c r="G9" s="5"/>
      <c r="H9" s="5" t="s">
        <v>61</v>
      </c>
    </row>
    <row r="10" spans="2:8" ht="15.75">
      <c r="B10" s="48" t="s">
        <v>120</v>
      </c>
      <c r="C10" s="5"/>
      <c r="D10" s="48" t="s">
        <v>128</v>
      </c>
      <c r="E10" s="5"/>
      <c r="F10" s="48" t="s">
        <v>120</v>
      </c>
      <c r="G10" s="5"/>
      <c r="H10" s="63" t="s">
        <v>127</v>
      </c>
    </row>
    <row r="11" spans="2:8" ht="15.75">
      <c r="B11" s="5" t="s">
        <v>9</v>
      </c>
      <c r="C11" s="5"/>
      <c r="D11" s="5" t="s">
        <v>9</v>
      </c>
      <c r="E11" s="5"/>
      <c r="F11" s="5" t="s">
        <v>9</v>
      </c>
      <c r="G11" s="5"/>
      <c r="H11" s="5" t="s">
        <v>9</v>
      </c>
    </row>
    <row r="13" spans="1:8" ht="15.75">
      <c r="A13" s="3" t="s">
        <v>1</v>
      </c>
      <c r="B13" s="32">
        <f>201489-159034</f>
        <v>42455</v>
      </c>
      <c r="C13" s="6"/>
      <c r="D13" s="6">
        <f>44849-9745</f>
        <v>35104</v>
      </c>
      <c r="E13" s="6"/>
      <c r="F13" s="6">
        <v>201489</v>
      </c>
      <c r="G13" s="6"/>
      <c r="H13" s="6">
        <v>44849</v>
      </c>
    </row>
    <row r="14" spans="2:8" ht="15.75">
      <c r="B14" s="6"/>
      <c r="C14" s="6"/>
      <c r="D14" s="6"/>
      <c r="E14" s="6"/>
      <c r="F14" s="6"/>
      <c r="G14" s="6"/>
      <c r="H14" s="6"/>
    </row>
    <row r="15" spans="1:8" ht="15.75">
      <c r="A15" s="3" t="s">
        <v>10</v>
      </c>
      <c r="B15" s="10">
        <f>-193390-(-153380)-1</f>
        <v>-40011</v>
      </c>
      <c r="C15" s="6"/>
      <c r="D15" s="10">
        <f>-40672-(-9111)-567</f>
        <v>-32128</v>
      </c>
      <c r="E15" s="6"/>
      <c r="F15" s="10">
        <f>-179705-1698-7990-3997</f>
        <v>-193390</v>
      </c>
      <c r="G15" s="6"/>
      <c r="H15" s="10">
        <f>-40672-567</f>
        <v>-41239</v>
      </c>
    </row>
    <row r="16" spans="2:8" ht="15.75">
      <c r="B16" s="6"/>
      <c r="C16" s="6"/>
      <c r="D16" s="6"/>
      <c r="E16" s="6"/>
      <c r="F16" s="6"/>
      <c r="G16" s="6"/>
      <c r="H16" s="6"/>
    </row>
    <row r="17" spans="1:8" ht="16.5" thickBot="1">
      <c r="A17" s="3" t="s">
        <v>2</v>
      </c>
      <c r="B17" s="17">
        <f>1097-81</f>
        <v>1016</v>
      </c>
      <c r="C17" s="6"/>
      <c r="D17" s="17">
        <v>0</v>
      </c>
      <c r="E17" s="6"/>
      <c r="F17" s="17">
        <f>1097</f>
        <v>1097</v>
      </c>
      <c r="G17" s="6"/>
      <c r="H17" s="17">
        <v>0</v>
      </c>
    </row>
    <row r="18" spans="2:8" ht="15.75">
      <c r="B18" s="6"/>
      <c r="C18" s="6"/>
      <c r="D18" s="6"/>
      <c r="E18" s="6"/>
      <c r="F18" s="6"/>
      <c r="G18" s="6"/>
      <c r="H18" s="11"/>
    </row>
    <row r="19" spans="1:8" ht="15.75">
      <c r="A19" s="3" t="s">
        <v>3</v>
      </c>
      <c r="B19" s="10">
        <f>+B13+B15+B17</f>
        <v>3460</v>
      </c>
      <c r="C19" s="6"/>
      <c r="D19" s="6">
        <f>D13+D15+D17</f>
        <v>2976</v>
      </c>
      <c r="E19" s="6"/>
      <c r="F19" s="6">
        <f>+F13+F15+F17</f>
        <v>9196</v>
      </c>
      <c r="G19" s="6"/>
      <c r="H19" s="6">
        <f>H13+H15+H17</f>
        <v>3610</v>
      </c>
    </row>
    <row r="20" spans="2:8" ht="15.75">
      <c r="B20" s="6"/>
      <c r="C20" s="6"/>
      <c r="D20" s="6"/>
      <c r="E20" s="6"/>
      <c r="F20" s="6"/>
      <c r="G20" s="6"/>
      <c r="H20" s="11"/>
    </row>
    <row r="21" spans="1:8" ht="15.75">
      <c r="A21" s="3" t="s">
        <v>14</v>
      </c>
      <c r="B21" s="6">
        <f>2267-1701+1</f>
        <v>567</v>
      </c>
      <c r="C21" s="6"/>
      <c r="D21" s="6">
        <v>567</v>
      </c>
      <c r="E21" s="6"/>
      <c r="F21" s="6">
        <f>2267</f>
        <v>2267</v>
      </c>
      <c r="G21" s="6"/>
      <c r="H21" s="6">
        <v>567</v>
      </c>
    </row>
    <row r="22" spans="2:8" ht="15.75">
      <c r="B22" s="6"/>
      <c r="C22" s="6"/>
      <c r="D22" s="6"/>
      <c r="E22" s="6"/>
      <c r="F22" s="6"/>
      <c r="G22" s="6"/>
      <c r="H22" s="11"/>
    </row>
    <row r="23" spans="1:9" ht="15.75">
      <c r="A23" s="3" t="s">
        <v>83</v>
      </c>
      <c r="B23" s="14">
        <f>-1338-(-1008)</f>
        <v>-330</v>
      </c>
      <c r="C23" s="14"/>
      <c r="D23" s="14">
        <f>-267-(-61)</f>
        <v>-206</v>
      </c>
      <c r="E23" s="13"/>
      <c r="F23" s="14">
        <f>-1338</f>
        <v>-1338</v>
      </c>
      <c r="G23" s="14"/>
      <c r="H23" s="14">
        <f>-267</f>
        <v>-267</v>
      </c>
      <c r="I23" s="65"/>
    </row>
    <row r="24" spans="2:8" ht="15.75">
      <c r="B24" s="14"/>
      <c r="C24" s="10"/>
      <c r="D24" s="14"/>
      <c r="E24" s="11"/>
      <c r="F24" s="14"/>
      <c r="G24" s="10"/>
      <c r="H24" s="14"/>
    </row>
    <row r="25" spans="1:8" ht="16.5" thickBot="1">
      <c r="A25" s="3" t="s">
        <v>114</v>
      </c>
      <c r="B25" s="16">
        <f>-17</f>
        <v>-17</v>
      </c>
      <c r="C25" s="14"/>
      <c r="D25" s="66">
        <v>0</v>
      </c>
      <c r="E25" s="14"/>
      <c r="F25" s="16">
        <f>-17</f>
        <v>-17</v>
      </c>
      <c r="G25" s="14"/>
      <c r="H25" s="66">
        <v>0</v>
      </c>
    </row>
    <row r="26" spans="2:8" ht="15.75">
      <c r="B26" s="10"/>
      <c r="C26" s="10"/>
      <c r="D26" s="11"/>
      <c r="E26" s="11"/>
      <c r="F26" s="10"/>
      <c r="G26" s="10"/>
      <c r="H26" s="11"/>
    </row>
    <row r="27" spans="1:8" ht="15.75">
      <c r="A27" s="3" t="s">
        <v>4</v>
      </c>
      <c r="B27" s="12">
        <f>SUM(B19:B25)</f>
        <v>3680</v>
      </c>
      <c r="C27" s="12"/>
      <c r="D27" s="12">
        <f>SUM(D19:D25)</f>
        <v>3337</v>
      </c>
      <c r="E27" s="12"/>
      <c r="F27" s="12">
        <f>SUM(F19:F25)</f>
        <v>10108</v>
      </c>
      <c r="G27" s="12"/>
      <c r="H27" s="12">
        <f>SUM(H19:H25)</f>
        <v>3910</v>
      </c>
    </row>
    <row r="28" spans="2:8" ht="15.75">
      <c r="B28" s="12"/>
      <c r="C28" s="12"/>
      <c r="D28" s="12"/>
      <c r="E28" s="12"/>
      <c r="F28" s="12"/>
      <c r="G28" s="12"/>
      <c r="H28" s="12"/>
    </row>
    <row r="29" spans="1:8" ht="16.5" thickBot="1">
      <c r="A29" s="3" t="s">
        <v>15</v>
      </c>
      <c r="B29" s="16">
        <f>-1217-(-1297)</f>
        <v>80</v>
      </c>
      <c r="C29" s="14"/>
      <c r="D29" s="16">
        <f>-475-(-144)</f>
        <v>-331</v>
      </c>
      <c r="E29" s="13"/>
      <c r="F29" s="16">
        <f>-1217</f>
        <v>-1217</v>
      </c>
      <c r="G29" s="14"/>
      <c r="H29" s="16">
        <f>-475</f>
        <v>-475</v>
      </c>
    </row>
    <row r="30" spans="2:8" ht="15.75">
      <c r="B30" s="12"/>
      <c r="C30" s="12"/>
      <c r="D30" s="12"/>
      <c r="E30" s="12"/>
      <c r="F30" s="12"/>
      <c r="G30" s="12"/>
      <c r="H30" s="13"/>
    </row>
    <row r="31" spans="1:8" ht="15.75">
      <c r="A31" s="3" t="s">
        <v>84</v>
      </c>
      <c r="B31" s="12">
        <f>B27+B29</f>
        <v>3760</v>
      </c>
      <c r="C31" s="12"/>
      <c r="D31" s="12">
        <f>D27+D29</f>
        <v>3006</v>
      </c>
      <c r="E31" s="12"/>
      <c r="F31" s="12">
        <f>F27+F29</f>
        <v>8891</v>
      </c>
      <c r="G31" s="12"/>
      <c r="H31" s="12">
        <f>H27+H29</f>
        <v>3435</v>
      </c>
    </row>
    <row r="32" spans="2:8" ht="15.75">
      <c r="B32" s="12"/>
      <c r="C32" s="12"/>
      <c r="D32" s="12"/>
      <c r="E32" s="12"/>
      <c r="F32" s="12"/>
      <c r="G32" s="12"/>
      <c r="H32" s="13"/>
    </row>
    <row r="33" spans="1:8" ht="16.5" thickBot="1">
      <c r="A33" s="3" t="s">
        <v>5</v>
      </c>
      <c r="B33" s="17">
        <f>10-2</f>
        <v>8</v>
      </c>
      <c r="C33" s="12"/>
      <c r="D33" s="17">
        <v>6</v>
      </c>
      <c r="E33" s="12"/>
      <c r="F33" s="17">
        <v>10</v>
      </c>
      <c r="G33" s="12"/>
      <c r="H33" s="17">
        <v>6</v>
      </c>
    </row>
    <row r="34" spans="2:8" ht="15.75">
      <c r="B34" s="12"/>
      <c r="C34" s="12"/>
      <c r="D34" s="12"/>
      <c r="E34" s="12"/>
      <c r="F34" s="12"/>
      <c r="G34" s="12"/>
      <c r="H34" s="13"/>
    </row>
    <row r="35" spans="1:8" ht="16.5" thickBot="1">
      <c r="A35" s="3" t="s">
        <v>85</v>
      </c>
      <c r="B35" s="18">
        <f>B31+B33</f>
        <v>3768</v>
      </c>
      <c r="C35" s="12"/>
      <c r="D35" s="18">
        <f>D31+D33</f>
        <v>3012</v>
      </c>
      <c r="E35" s="12"/>
      <c r="F35" s="18">
        <f>F31+F33</f>
        <v>8901</v>
      </c>
      <c r="G35" s="12"/>
      <c r="H35" s="18">
        <f>H31+H33</f>
        <v>3441</v>
      </c>
    </row>
    <row r="36" spans="2:8" ht="16.5" thickTop="1">
      <c r="B36" s="12"/>
      <c r="C36" s="12"/>
      <c r="D36" s="12"/>
      <c r="E36" s="12"/>
      <c r="F36" s="12"/>
      <c r="G36" s="12"/>
      <c r="H36" s="13"/>
    </row>
    <row r="37" spans="2:8" ht="15.75">
      <c r="B37" s="6"/>
      <c r="C37" s="6"/>
      <c r="D37" s="6"/>
      <c r="E37" s="6"/>
      <c r="F37" s="6"/>
      <c r="G37" s="6"/>
      <c r="H37" s="6"/>
    </row>
    <row r="38" spans="1:8" ht="15.75">
      <c r="A38" s="3" t="s">
        <v>86</v>
      </c>
      <c r="C38" s="6"/>
      <c r="D38" s="6"/>
      <c r="E38" s="6"/>
      <c r="G38" s="6"/>
      <c r="H38" s="6"/>
    </row>
    <row r="39" spans="1:8" ht="15.75">
      <c r="A39" s="7" t="s">
        <v>130</v>
      </c>
      <c r="G39" s="6"/>
      <c r="H39" s="11"/>
    </row>
    <row r="40" spans="1:8" ht="15.75">
      <c r="A40" s="3" t="s">
        <v>129</v>
      </c>
      <c r="B40" s="11">
        <f>B35/80000*100</f>
        <v>4.71</v>
      </c>
      <c r="C40" s="6"/>
      <c r="D40" s="6"/>
      <c r="E40" s="6"/>
      <c r="F40" s="11">
        <f>F35/80000*100</f>
        <v>11.12625</v>
      </c>
      <c r="G40" s="6"/>
      <c r="H40" s="11"/>
    </row>
    <row r="41" spans="1:3" ht="15.75">
      <c r="A41" s="7" t="s">
        <v>131</v>
      </c>
      <c r="B41" s="11"/>
      <c r="C41" s="6"/>
    </row>
    <row r="42" spans="1:8" ht="15.75">
      <c r="A42" s="3" t="s">
        <v>129</v>
      </c>
      <c r="B42" s="6"/>
      <c r="C42" s="6"/>
      <c r="D42" s="11">
        <f>D35/22795*100</f>
        <v>13.213423996490459</v>
      </c>
      <c r="E42" s="6"/>
      <c r="F42" s="11"/>
      <c r="G42" s="6"/>
      <c r="H42" s="11">
        <f>H35/22795*100</f>
        <v>15.09541566132924</v>
      </c>
    </row>
    <row r="43" spans="2:8" ht="15.75">
      <c r="B43" s="6"/>
      <c r="C43" s="6"/>
      <c r="D43" s="6"/>
      <c r="E43" s="6"/>
      <c r="F43" s="6"/>
      <c r="G43" s="6"/>
      <c r="H43" s="6"/>
    </row>
    <row r="44" spans="2:8" ht="15.75">
      <c r="B44" s="6"/>
      <c r="C44" s="6"/>
      <c r="D44" s="6"/>
      <c r="E44" s="6"/>
      <c r="F44" s="6"/>
      <c r="G44" s="6"/>
      <c r="H44" s="6"/>
    </row>
    <row r="45" spans="1:8" ht="15.75">
      <c r="A45" s="15" t="s">
        <v>115</v>
      </c>
      <c r="C45" s="6"/>
      <c r="D45" s="6"/>
      <c r="E45" s="6"/>
      <c r="F45" s="6"/>
      <c r="G45" s="6"/>
      <c r="H45" s="6"/>
    </row>
    <row r="46" spans="1:8" ht="15.75">
      <c r="A46" s="15" t="s">
        <v>147</v>
      </c>
      <c r="C46" s="6"/>
      <c r="D46" s="6"/>
      <c r="E46" s="6"/>
      <c r="F46" s="6"/>
      <c r="G46" s="6"/>
      <c r="H46" s="6"/>
    </row>
    <row r="47" spans="2:8" ht="15.75">
      <c r="B47" s="6"/>
      <c r="C47" s="6"/>
      <c r="D47" s="6"/>
      <c r="E47" s="6"/>
      <c r="F47" s="6"/>
      <c r="G47" s="6"/>
      <c r="H47" s="6"/>
    </row>
    <row r="48" spans="1:8" ht="15.75">
      <c r="A48" s="15" t="s">
        <v>116</v>
      </c>
      <c r="B48" s="6"/>
      <c r="C48" s="6"/>
      <c r="D48" s="6"/>
      <c r="E48" s="6"/>
      <c r="F48" s="6"/>
      <c r="G48" s="6"/>
      <c r="H48" s="6"/>
    </row>
    <row r="49" spans="1:8" ht="15.75">
      <c r="A49" s="15" t="s">
        <v>117</v>
      </c>
      <c r="B49" s="6"/>
      <c r="C49" s="6"/>
      <c r="D49" s="6"/>
      <c r="E49" s="6"/>
      <c r="F49" s="6"/>
      <c r="G49" s="6"/>
      <c r="H49" s="6"/>
    </row>
    <row r="50" spans="1:8" ht="15.75">
      <c r="A50" s="15"/>
      <c r="B50" s="6"/>
      <c r="C50" s="6"/>
      <c r="D50" s="6"/>
      <c r="E50" s="6"/>
      <c r="F50" s="6"/>
      <c r="G50" s="6"/>
      <c r="H50" s="6"/>
    </row>
    <row r="51" spans="1:8" ht="15.75">
      <c r="A51" s="15"/>
      <c r="B51" s="6"/>
      <c r="C51" s="6"/>
      <c r="D51" s="6"/>
      <c r="E51" s="6"/>
      <c r="F51" s="6"/>
      <c r="G51" s="6"/>
      <c r="H51" s="6"/>
    </row>
    <row r="52" spans="1:8" ht="15.75">
      <c r="A52" s="4" t="s">
        <v>118</v>
      </c>
      <c r="B52" s="6"/>
      <c r="C52" s="6"/>
      <c r="D52" s="6"/>
      <c r="E52" s="6"/>
      <c r="F52" s="6"/>
      <c r="G52" s="6"/>
      <c r="H52" s="6"/>
    </row>
    <row r="53" spans="1:8" ht="15.75">
      <c r="A53" s="4" t="s">
        <v>119</v>
      </c>
      <c r="B53" s="6"/>
      <c r="C53" s="6"/>
      <c r="D53" s="6"/>
      <c r="E53" s="6"/>
      <c r="F53" s="6"/>
      <c r="G53" s="6"/>
      <c r="H53" s="6"/>
    </row>
    <row r="54" spans="2:8" ht="15.75">
      <c r="B54" s="6"/>
      <c r="C54" s="6"/>
      <c r="D54" s="6"/>
      <c r="E54" s="6"/>
      <c r="F54" s="6"/>
      <c r="G54" s="6"/>
      <c r="H54" s="6"/>
    </row>
    <row r="55" spans="2:8" ht="15.75">
      <c r="B55" s="6"/>
      <c r="C55" s="6"/>
      <c r="D55" s="6"/>
      <c r="E55" s="6"/>
      <c r="F55" s="6"/>
      <c r="G55" s="6"/>
      <c r="H55" s="6"/>
    </row>
    <row r="56" spans="2:8" ht="15.75">
      <c r="B56" s="6"/>
      <c r="C56" s="6"/>
      <c r="D56" s="6"/>
      <c r="E56" s="6"/>
      <c r="F56" s="6"/>
      <c r="G56" s="6"/>
      <c r="H56" s="6"/>
    </row>
    <row r="57" spans="2:8" ht="15.75">
      <c r="B57" s="6"/>
      <c r="C57" s="6"/>
      <c r="D57" s="6"/>
      <c r="E57" s="6"/>
      <c r="F57" s="6"/>
      <c r="G57" s="6"/>
      <c r="H57" s="6"/>
    </row>
    <row r="58" spans="2:8" ht="15.75">
      <c r="B58" s="6"/>
      <c r="C58" s="6"/>
      <c r="D58" s="6"/>
      <c r="E58" s="6"/>
      <c r="F58" s="6"/>
      <c r="G58" s="6"/>
      <c r="H58" s="6"/>
    </row>
    <row r="59" spans="2:8" ht="15.75">
      <c r="B59" s="6"/>
      <c r="C59" s="6"/>
      <c r="D59" s="6"/>
      <c r="E59" s="6"/>
      <c r="F59" s="6"/>
      <c r="G59" s="6"/>
      <c r="H59" s="6"/>
    </row>
    <row r="60" spans="2:8" ht="15.75">
      <c r="B60" s="6"/>
      <c r="C60" s="6"/>
      <c r="D60" s="6"/>
      <c r="E60" s="6"/>
      <c r="F60" s="6"/>
      <c r="G60" s="6"/>
      <c r="H60" s="6"/>
    </row>
    <row r="61" spans="2:8" ht="15.75">
      <c r="B61" s="6"/>
      <c r="C61" s="6"/>
      <c r="D61" s="6"/>
      <c r="E61" s="6"/>
      <c r="F61" s="6"/>
      <c r="G61" s="6"/>
      <c r="H61" s="6"/>
    </row>
    <row r="62" spans="2:8" ht="15.75">
      <c r="B62" s="6"/>
      <c r="C62" s="6"/>
      <c r="D62" s="6"/>
      <c r="E62" s="6"/>
      <c r="F62" s="6"/>
      <c r="G62" s="6"/>
      <c r="H62" s="6"/>
    </row>
    <row r="63" spans="2:8" ht="15.75">
      <c r="B63" s="6"/>
      <c r="C63" s="6"/>
      <c r="D63" s="6"/>
      <c r="E63" s="6"/>
      <c r="F63" s="6"/>
      <c r="G63" s="6"/>
      <c r="H63" s="6"/>
    </row>
    <row r="64" spans="2:8" ht="15.75">
      <c r="B64" s="6"/>
      <c r="C64" s="6"/>
      <c r="D64" s="6"/>
      <c r="E64" s="6"/>
      <c r="F64" s="6"/>
      <c r="G64" s="6"/>
      <c r="H64" s="6"/>
    </row>
    <row r="65" spans="2:8" ht="15.75">
      <c r="B65" s="6"/>
      <c r="C65" s="6"/>
      <c r="D65" s="6"/>
      <c r="E65" s="6"/>
      <c r="F65" s="6"/>
      <c r="G65" s="6"/>
      <c r="H65" s="6"/>
    </row>
    <row r="66" spans="2:8" ht="15.75">
      <c r="B66" s="6"/>
      <c r="C66" s="6"/>
      <c r="D66" s="6"/>
      <c r="E66" s="6"/>
      <c r="F66" s="6"/>
      <c r="G66" s="6"/>
      <c r="H66" s="6"/>
    </row>
  </sheetData>
  <printOptions/>
  <pageMargins left="0.55" right="0.25" top="0.75" bottom="0.75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22">
      <selection activeCell="A50" sqref="A50"/>
    </sheetView>
  </sheetViews>
  <sheetFormatPr defaultColWidth="9.140625" defaultRowHeight="12.75"/>
  <cols>
    <col min="1" max="1" width="55.7109375" style="2" customWidth="1"/>
    <col min="2" max="2" width="15.57421875" style="2" customWidth="1"/>
    <col min="3" max="3" width="3.00390625" style="2" customWidth="1"/>
    <col min="4" max="4" width="15.421875" style="2" bestFit="1" customWidth="1"/>
    <col min="5" max="16384" width="9.140625" style="2" customWidth="1"/>
  </cols>
  <sheetData>
    <row r="1" ht="18.75">
      <c r="A1" s="33" t="s">
        <v>6</v>
      </c>
    </row>
    <row r="2" ht="15.75">
      <c r="A2" s="34" t="s">
        <v>56</v>
      </c>
    </row>
    <row r="3" ht="15.75">
      <c r="A3" s="35"/>
    </row>
    <row r="4" ht="15.75">
      <c r="A4" s="1" t="s">
        <v>16</v>
      </c>
    </row>
    <row r="5" ht="15.75">
      <c r="A5" s="1"/>
    </row>
    <row r="6" spans="1:4" ht="15.75">
      <c r="A6" s="1"/>
      <c r="B6" s="36" t="s">
        <v>66</v>
      </c>
      <c r="C6" s="37"/>
      <c r="D6" s="36" t="s">
        <v>67</v>
      </c>
    </row>
    <row r="7" spans="2:4" ht="15.75">
      <c r="B7" s="36" t="s">
        <v>65</v>
      </c>
      <c r="C7" s="36"/>
      <c r="D7" s="36" t="s">
        <v>58</v>
      </c>
    </row>
    <row r="8" spans="2:4" ht="15.75">
      <c r="B8" s="36" t="s">
        <v>68</v>
      </c>
      <c r="C8" s="36"/>
      <c r="D8" s="36" t="s">
        <v>68</v>
      </c>
    </row>
    <row r="9" spans="2:4" ht="15.75">
      <c r="B9" s="36" t="s">
        <v>69</v>
      </c>
      <c r="C9" s="36"/>
      <c r="D9" s="36" t="s">
        <v>69</v>
      </c>
    </row>
    <row r="10" spans="2:4" ht="15.75">
      <c r="B10" s="49">
        <v>38352</v>
      </c>
      <c r="C10" s="36"/>
      <c r="D10" s="38">
        <v>37986</v>
      </c>
    </row>
    <row r="11" spans="2:4" ht="15.75">
      <c r="B11" s="36" t="s">
        <v>9</v>
      </c>
      <c r="C11" s="36"/>
      <c r="D11" s="36" t="s">
        <v>9</v>
      </c>
    </row>
    <row r="12" spans="2:4" ht="15.75">
      <c r="B12" s="36"/>
      <c r="C12" s="36"/>
      <c r="D12" s="36"/>
    </row>
    <row r="13" spans="1:4" ht="15.75">
      <c r="A13" s="2" t="s">
        <v>87</v>
      </c>
      <c r="B13" s="32">
        <v>21533</v>
      </c>
      <c r="C13" s="32"/>
      <c r="D13" s="32">
        <v>17922</v>
      </c>
    </row>
    <row r="14" spans="1:4" ht="15.75">
      <c r="A14" s="2" t="s">
        <v>121</v>
      </c>
      <c r="B14" s="32">
        <v>236</v>
      </c>
      <c r="C14" s="32"/>
      <c r="D14" s="32">
        <v>0</v>
      </c>
    </row>
    <row r="15" spans="1:4" ht="15.75">
      <c r="A15" s="2" t="s">
        <v>88</v>
      </c>
      <c r="B15" s="32">
        <v>864</v>
      </c>
      <c r="C15" s="32"/>
      <c r="D15" s="32">
        <v>936</v>
      </c>
    </row>
    <row r="16" spans="2:4" ht="15.75">
      <c r="B16" s="32"/>
      <c r="C16" s="32"/>
      <c r="D16" s="32"/>
    </row>
    <row r="17" spans="1:4" ht="15.75">
      <c r="A17" s="2" t="s">
        <v>11</v>
      </c>
      <c r="B17" s="32"/>
      <c r="C17" s="32"/>
      <c r="D17" s="32"/>
    </row>
    <row r="18" spans="1:4" ht="15.75">
      <c r="A18" s="39" t="s">
        <v>89</v>
      </c>
      <c r="B18" s="40">
        <f>21909+20064</f>
        <v>41973</v>
      </c>
      <c r="C18" s="32"/>
      <c r="D18" s="40">
        <f>14864+2334</f>
        <v>17198</v>
      </c>
    </row>
    <row r="19" spans="1:4" ht="15.75">
      <c r="A19" s="39" t="s">
        <v>90</v>
      </c>
      <c r="B19" s="41">
        <v>45611</v>
      </c>
      <c r="C19" s="32"/>
      <c r="D19" s="41">
        <f>64155+1510</f>
        <v>65665</v>
      </c>
    </row>
    <row r="20" spans="1:4" ht="15.75">
      <c r="A20" s="39" t="s">
        <v>37</v>
      </c>
      <c r="B20" s="41">
        <f>2403+23+1317</f>
        <v>3743</v>
      </c>
      <c r="C20" s="32"/>
      <c r="D20" s="41">
        <v>1821</v>
      </c>
    </row>
    <row r="21" spans="1:4" ht="15.75">
      <c r="A21" s="39" t="s">
        <v>38</v>
      </c>
      <c r="B21" s="41">
        <f>17827-7635</f>
        <v>10192</v>
      </c>
      <c r="C21" s="32"/>
      <c r="D21" s="41">
        <v>5456</v>
      </c>
    </row>
    <row r="22" spans="1:4" ht="15.75">
      <c r="A22" s="39" t="s">
        <v>39</v>
      </c>
      <c r="B22" s="42">
        <f>1342+4877</f>
        <v>6219</v>
      </c>
      <c r="C22" s="32"/>
      <c r="D22" s="42">
        <v>16420</v>
      </c>
    </row>
    <row r="23" spans="1:4" ht="15.75">
      <c r="A23" s="43"/>
      <c r="B23" s="32">
        <f>SUM(B18:B22)</f>
        <v>107738</v>
      </c>
      <c r="C23" s="32"/>
      <c r="D23" s="32">
        <f>SUM(D18:D22)</f>
        <v>106560</v>
      </c>
    </row>
    <row r="24" spans="1:4" ht="15.75">
      <c r="A24" s="2" t="s">
        <v>19</v>
      </c>
      <c r="B24" s="32"/>
      <c r="C24" s="32"/>
      <c r="D24" s="32"/>
    </row>
    <row r="25" spans="1:4" ht="15.75">
      <c r="A25" s="39" t="s">
        <v>91</v>
      </c>
      <c r="B25" s="40">
        <v>10314</v>
      </c>
      <c r="C25" s="32"/>
      <c r="D25" s="40">
        <v>20059</v>
      </c>
    </row>
    <row r="26" spans="1:4" ht="15.75">
      <c r="A26" s="39" t="s">
        <v>40</v>
      </c>
      <c r="B26" s="41">
        <f>1236+6</f>
        <v>1242</v>
      </c>
      <c r="C26" s="32"/>
      <c r="D26" s="41">
        <f>1961+5</f>
        <v>1966</v>
      </c>
    </row>
    <row r="27" spans="1:4" ht="15.75">
      <c r="A27" s="39" t="s">
        <v>92</v>
      </c>
      <c r="B27" s="41">
        <v>335</v>
      </c>
      <c r="C27" s="32"/>
      <c r="D27" s="41">
        <v>401</v>
      </c>
    </row>
    <row r="28" spans="1:4" ht="15.75">
      <c r="A28" s="39" t="s">
        <v>93</v>
      </c>
      <c r="B28" s="41">
        <v>45614</v>
      </c>
      <c r="C28" s="32"/>
      <c r="D28" s="41">
        <f>35205-401</f>
        <v>34804</v>
      </c>
    </row>
    <row r="29" spans="1:4" ht="15.75">
      <c r="A29" s="39" t="s">
        <v>112</v>
      </c>
      <c r="B29" s="41">
        <v>145</v>
      </c>
      <c r="C29" s="32"/>
      <c r="D29" s="41">
        <v>0</v>
      </c>
    </row>
    <row r="30" spans="1:4" ht="15.75">
      <c r="A30" s="39" t="s">
        <v>41</v>
      </c>
      <c r="B30" s="64">
        <v>0</v>
      </c>
      <c r="C30" s="32"/>
      <c r="D30" s="42">
        <v>715</v>
      </c>
    </row>
    <row r="31" spans="2:4" ht="15.75">
      <c r="B31" s="32">
        <f>SUM(B25:B30)</f>
        <v>57650</v>
      </c>
      <c r="C31" s="32"/>
      <c r="D31" s="32">
        <f>SUM(D25:D30)</f>
        <v>57945</v>
      </c>
    </row>
    <row r="32" spans="2:4" ht="15.75">
      <c r="B32" s="32"/>
      <c r="C32" s="32"/>
      <c r="D32" s="32"/>
    </row>
    <row r="33" spans="1:4" ht="15.75">
      <c r="A33" s="2" t="s">
        <v>18</v>
      </c>
      <c r="B33" s="32">
        <f>B23-B31</f>
        <v>50088</v>
      </c>
      <c r="C33" s="32"/>
      <c r="D33" s="32">
        <f>D23-D31</f>
        <v>48615</v>
      </c>
    </row>
    <row r="34" spans="2:4" ht="15.75">
      <c r="B34" s="32"/>
      <c r="C34" s="32"/>
      <c r="D34" s="32"/>
    </row>
    <row r="35" spans="2:4" ht="16.5" thickBot="1">
      <c r="B35" s="44">
        <f>B13+B14+B15+B33</f>
        <v>72721</v>
      </c>
      <c r="C35" s="32"/>
      <c r="D35" s="44">
        <f>D13+D14+D15+D33</f>
        <v>67473</v>
      </c>
    </row>
    <row r="36" spans="2:4" ht="16.5" thickTop="1">
      <c r="B36" s="45"/>
      <c r="C36" s="32"/>
      <c r="D36" s="45"/>
    </row>
    <row r="37" spans="1:4" ht="15.75">
      <c r="A37" s="2" t="s">
        <v>17</v>
      </c>
      <c r="B37" s="45"/>
      <c r="C37" s="32"/>
      <c r="D37" s="45"/>
    </row>
    <row r="38" spans="2:4" ht="15.75">
      <c r="B38" s="32"/>
      <c r="C38" s="32"/>
      <c r="D38" s="32"/>
    </row>
    <row r="39" spans="1:4" ht="15.75">
      <c r="A39" s="39" t="s">
        <v>0</v>
      </c>
      <c r="B39" s="40">
        <v>40000</v>
      </c>
      <c r="C39" s="32"/>
      <c r="D39" s="40">
        <v>40000</v>
      </c>
    </row>
    <row r="40" spans="1:4" ht="15.75">
      <c r="A40" s="39" t="s">
        <v>7</v>
      </c>
      <c r="B40" s="41">
        <v>6941</v>
      </c>
      <c r="C40" s="32"/>
      <c r="D40" s="41">
        <v>6989</v>
      </c>
    </row>
    <row r="41" spans="1:4" ht="15.75">
      <c r="A41" s="39" t="s">
        <v>94</v>
      </c>
      <c r="B41" s="42">
        <v>8296</v>
      </c>
      <c r="C41" s="32"/>
      <c r="D41" s="42">
        <v>3435</v>
      </c>
    </row>
    <row r="42" spans="1:4" ht="15.75">
      <c r="A42" s="39" t="s">
        <v>95</v>
      </c>
      <c r="B42" s="32">
        <f>SUM(B39:B41)</f>
        <v>55237</v>
      </c>
      <c r="C42" s="32"/>
      <c r="D42" s="32">
        <f>SUM(D39:D41)</f>
        <v>50424</v>
      </c>
    </row>
    <row r="43" spans="2:4" ht="15.75">
      <c r="B43" s="32"/>
      <c r="C43" s="32"/>
      <c r="D43" s="32"/>
    </row>
    <row r="44" spans="1:4" ht="15.75">
      <c r="A44" s="2" t="s">
        <v>96</v>
      </c>
      <c r="B44" s="32">
        <v>50</v>
      </c>
      <c r="C44" s="32"/>
      <c r="D44" s="32">
        <v>57</v>
      </c>
    </row>
    <row r="45" spans="1:4" ht="15.75">
      <c r="A45" s="2" t="s">
        <v>97</v>
      </c>
      <c r="B45" s="32">
        <v>12551</v>
      </c>
      <c r="C45" s="32"/>
      <c r="D45" s="32">
        <v>14818</v>
      </c>
    </row>
    <row r="46" spans="1:4" ht="15.75">
      <c r="A46" s="2" t="s">
        <v>98</v>
      </c>
      <c r="B46" s="32">
        <v>518</v>
      </c>
      <c r="C46" s="32"/>
      <c r="D46" s="32">
        <v>662</v>
      </c>
    </row>
    <row r="47" spans="1:4" ht="15.75">
      <c r="A47" s="2" t="s">
        <v>111</v>
      </c>
      <c r="B47" s="32">
        <v>2831</v>
      </c>
      <c r="C47" s="32"/>
      <c r="D47" s="32">
        <v>0</v>
      </c>
    </row>
    <row r="48" spans="1:5" ht="15.75">
      <c r="A48" s="2" t="s">
        <v>82</v>
      </c>
      <c r="B48" s="32">
        <v>1534</v>
      </c>
      <c r="C48" s="32"/>
      <c r="D48" s="32">
        <v>1512</v>
      </c>
      <c r="E48" s="32"/>
    </row>
    <row r="50" spans="2:4" ht="16.5" thickBot="1">
      <c r="B50" s="46">
        <f>SUM(B42:B48)</f>
        <v>72721</v>
      </c>
      <c r="D50" s="46">
        <f>SUM(D42:D48)</f>
        <v>67473</v>
      </c>
    </row>
    <row r="51" ht="16.5" thickTop="1"/>
    <row r="52" spans="1:4" ht="15.75">
      <c r="A52" s="2" t="s">
        <v>13</v>
      </c>
      <c r="B52" s="47">
        <f>(B42+B45-B15)/80000*100</f>
        <v>83.655</v>
      </c>
      <c r="D52" s="47">
        <f>(D42+D45-D15)/80000*100</f>
        <v>80.38250000000001</v>
      </c>
    </row>
    <row r="53" ht="15.75">
      <c r="A53" s="2" t="s">
        <v>122</v>
      </c>
    </row>
    <row r="54" ht="15.75">
      <c r="A54" s="2" t="s">
        <v>123</v>
      </c>
    </row>
    <row r="57" ht="15.75">
      <c r="A57" s="1" t="s">
        <v>21</v>
      </c>
    </row>
    <row r="58" ht="15.75">
      <c r="A58" s="1" t="s">
        <v>22</v>
      </c>
    </row>
    <row r="59" ht="15.75">
      <c r="A59" s="1"/>
    </row>
  </sheetData>
  <printOptions/>
  <pageMargins left="0.75" right="0.5" top="1" bottom="0.75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"/>
  <sheetViews>
    <sheetView zoomScale="75" zoomScaleNormal="75" workbookViewId="0" topLeftCell="A1">
      <selection activeCell="E20" sqref="E20"/>
    </sheetView>
  </sheetViews>
  <sheetFormatPr defaultColWidth="9.140625" defaultRowHeight="12.75"/>
  <cols>
    <col min="1" max="1" width="71.421875" style="2" customWidth="1"/>
    <col min="2" max="2" width="22.140625" style="2" customWidth="1"/>
    <col min="3" max="3" width="3.00390625" style="50" customWidth="1"/>
    <col min="4" max="4" width="21.8515625" style="2" customWidth="1"/>
    <col min="5" max="16384" width="9.140625" style="2" customWidth="1"/>
  </cols>
  <sheetData>
    <row r="1" ht="18.75">
      <c r="A1" s="33" t="s">
        <v>6</v>
      </c>
    </row>
    <row r="2" ht="15.75">
      <c r="A2" s="34" t="s">
        <v>56</v>
      </c>
    </row>
    <row r="3" ht="15.75">
      <c r="A3" s="35"/>
    </row>
    <row r="4" ht="15.75">
      <c r="A4" s="1" t="s">
        <v>54</v>
      </c>
    </row>
    <row r="5" ht="15.75">
      <c r="A5" s="1"/>
    </row>
    <row r="6" spans="1:4" ht="15.75">
      <c r="A6" s="1"/>
      <c r="B6" s="36" t="s">
        <v>77</v>
      </c>
      <c r="D6" s="36" t="s">
        <v>77</v>
      </c>
    </row>
    <row r="7" spans="1:4" ht="15.75">
      <c r="A7" s="1"/>
      <c r="B7" s="36" t="s">
        <v>139</v>
      </c>
      <c r="D7" s="36" t="s">
        <v>140</v>
      </c>
    </row>
    <row r="8" spans="1:4" ht="15.75">
      <c r="A8" s="1"/>
      <c r="B8" s="36" t="s">
        <v>132</v>
      </c>
      <c r="C8" s="51"/>
      <c r="D8" s="36" t="s">
        <v>132</v>
      </c>
    </row>
    <row r="9" spans="1:4" ht="15.75">
      <c r="A9" s="1"/>
      <c r="B9" s="38">
        <v>38352</v>
      </c>
      <c r="C9" s="52"/>
      <c r="D9" s="38">
        <v>37986</v>
      </c>
    </row>
    <row r="10" spans="1:4" ht="15.75">
      <c r="A10" s="1"/>
      <c r="B10" s="36" t="s">
        <v>9</v>
      </c>
      <c r="C10" s="53"/>
      <c r="D10" s="36" t="s">
        <v>9</v>
      </c>
    </row>
    <row r="11" spans="2:3" ht="15.75">
      <c r="B11" s="54"/>
      <c r="C11" s="55"/>
    </row>
    <row r="12" spans="1:3" ht="15.75">
      <c r="A12" s="1" t="s">
        <v>46</v>
      </c>
      <c r="B12" s="56"/>
      <c r="C12" s="57"/>
    </row>
    <row r="13" spans="1:4" ht="15.75">
      <c r="A13" s="2" t="s">
        <v>23</v>
      </c>
      <c r="B13" s="56">
        <v>10108</v>
      </c>
      <c r="C13" s="57"/>
      <c r="D13" s="56">
        <v>3910</v>
      </c>
    </row>
    <row r="14" spans="2:4" ht="15.75">
      <c r="B14" s="56"/>
      <c r="C14" s="57"/>
      <c r="D14" s="56"/>
    </row>
    <row r="15" spans="1:4" ht="15.75">
      <c r="A15" s="2" t="s">
        <v>24</v>
      </c>
      <c r="B15" s="56"/>
      <c r="C15" s="57"/>
      <c r="D15" s="56"/>
    </row>
    <row r="16" spans="1:4" ht="15.75">
      <c r="A16" s="2" t="s">
        <v>42</v>
      </c>
      <c r="B16" s="56">
        <v>1669</v>
      </c>
      <c r="C16" s="57"/>
      <c r="D16" s="32">
        <v>384</v>
      </c>
    </row>
    <row r="17" spans="1:4" ht="15.75">
      <c r="A17" s="2" t="s">
        <v>26</v>
      </c>
      <c r="B17" s="56">
        <v>73</v>
      </c>
      <c r="C17" s="57"/>
      <c r="D17" s="32">
        <v>71</v>
      </c>
    </row>
    <row r="18" spans="1:4" ht="15.75">
      <c r="A18" s="2" t="s">
        <v>25</v>
      </c>
      <c r="B18" s="56">
        <f>-2267</f>
        <v>-2267</v>
      </c>
      <c r="C18" s="57"/>
      <c r="D18" s="56">
        <f>-567</f>
        <v>-567</v>
      </c>
    </row>
    <row r="19" spans="1:4" ht="15.75">
      <c r="A19" s="2" t="s">
        <v>133</v>
      </c>
      <c r="B19" s="56">
        <v>31</v>
      </c>
      <c r="C19" s="57"/>
      <c r="D19" s="32">
        <v>2</v>
      </c>
    </row>
    <row r="20" spans="1:4" ht="15.75">
      <c r="A20" s="2" t="s">
        <v>134</v>
      </c>
      <c r="B20" s="56">
        <v>41</v>
      </c>
      <c r="C20" s="57"/>
      <c r="D20" s="61">
        <v>0</v>
      </c>
    </row>
    <row r="21" spans="1:4" ht="15.75">
      <c r="A21" s="2" t="s">
        <v>135</v>
      </c>
      <c r="B21" s="56">
        <v>17</v>
      </c>
      <c r="C21" s="57"/>
      <c r="D21" s="61">
        <v>0</v>
      </c>
    </row>
    <row r="22" spans="1:4" ht="15.75">
      <c r="A22" s="2" t="s">
        <v>141</v>
      </c>
      <c r="B22" s="61">
        <v>0</v>
      </c>
      <c r="C22" s="57"/>
      <c r="D22" s="56">
        <f>-3</f>
        <v>-3</v>
      </c>
    </row>
    <row r="23" spans="1:4" ht="15.75">
      <c r="A23" s="2" t="s">
        <v>27</v>
      </c>
      <c r="B23" s="61">
        <v>0</v>
      </c>
      <c r="C23" s="57"/>
      <c r="D23" s="56">
        <v>267</v>
      </c>
    </row>
    <row r="24" spans="1:4" ht="15.75">
      <c r="A24" s="2" t="s">
        <v>142</v>
      </c>
      <c r="B24" s="61">
        <v>0</v>
      </c>
      <c r="C24" s="57"/>
      <c r="D24" s="56">
        <f>-629</f>
        <v>-629</v>
      </c>
    </row>
    <row r="25" spans="2:4" ht="15.75">
      <c r="B25" s="58"/>
      <c r="C25" s="57"/>
      <c r="D25" s="58"/>
    </row>
    <row r="26" spans="1:4" ht="15.75">
      <c r="A26" s="2" t="s">
        <v>28</v>
      </c>
      <c r="B26" s="56">
        <f>SUM(B13:B24)</f>
        <v>9672</v>
      </c>
      <c r="C26" s="57"/>
      <c r="D26" s="56">
        <f>SUM(D13:D24)</f>
        <v>3435</v>
      </c>
    </row>
    <row r="27" spans="2:4" ht="15.75">
      <c r="B27" s="56"/>
      <c r="C27" s="57"/>
      <c r="D27" s="56"/>
    </row>
    <row r="28" spans="1:4" ht="15.75">
      <c r="A28" s="2" t="s">
        <v>29</v>
      </c>
      <c r="B28" s="56"/>
      <c r="C28" s="57"/>
      <c r="D28" s="56"/>
    </row>
    <row r="29" spans="1:4" ht="15.75">
      <c r="A29" s="2" t="s">
        <v>43</v>
      </c>
      <c r="B29" s="56">
        <f>-7046</f>
        <v>-7046</v>
      </c>
      <c r="C29" s="57"/>
      <c r="D29" s="56">
        <f>-2722</f>
        <v>-2722</v>
      </c>
    </row>
    <row r="30" spans="1:4" ht="15.75">
      <c r="A30" s="2" t="s">
        <v>44</v>
      </c>
      <c r="B30" s="56">
        <f>1835+2179</f>
        <v>4014</v>
      </c>
      <c r="C30" s="57"/>
      <c r="D30" s="56">
        <v>18765</v>
      </c>
    </row>
    <row r="31" spans="1:4" ht="15.75">
      <c r="A31" s="2" t="s">
        <v>45</v>
      </c>
      <c r="B31" s="56">
        <f>-9745-6071-1</f>
        <v>-15817</v>
      </c>
      <c r="C31" s="57"/>
      <c r="D31" s="56">
        <f>-17905</f>
        <v>-17905</v>
      </c>
    </row>
    <row r="32" spans="2:4" ht="15.75">
      <c r="B32" s="58"/>
      <c r="C32" s="57"/>
      <c r="D32" s="58"/>
    </row>
    <row r="33" spans="1:4" ht="15.75">
      <c r="A33" s="2" t="s">
        <v>30</v>
      </c>
      <c r="B33" s="56">
        <f>SUM(B26:B31)</f>
        <v>-9177</v>
      </c>
      <c r="C33" s="57"/>
      <c r="D33" s="56">
        <f>SUM(D26:D31)</f>
        <v>1573</v>
      </c>
    </row>
    <row r="34" spans="2:4" ht="15.75">
      <c r="B34" s="56"/>
      <c r="C34" s="57"/>
      <c r="D34" s="56"/>
    </row>
    <row r="35" spans="1:4" ht="15.75">
      <c r="A35" s="2" t="s">
        <v>31</v>
      </c>
      <c r="B35" s="56">
        <f>-3226</f>
        <v>-3226</v>
      </c>
      <c r="C35" s="57"/>
      <c r="D35" s="56">
        <f>-2187</f>
        <v>-2187</v>
      </c>
    </row>
    <row r="36" spans="1:4" ht="15.75">
      <c r="A36" s="2" t="s">
        <v>143</v>
      </c>
      <c r="B36" s="61">
        <v>0</v>
      </c>
      <c r="C36" s="57"/>
      <c r="D36" s="56">
        <v>3</v>
      </c>
    </row>
    <row r="37" spans="1:4" ht="15.75">
      <c r="A37" s="2" t="s">
        <v>32</v>
      </c>
      <c r="B37" s="61">
        <f>-B23</f>
        <v>0</v>
      </c>
      <c r="C37" s="57"/>
      <c r="D37" s="56">
        <f>-267</f>
        <v>-267</v>
      </c>
    </row>
    <row r="38" spans="2:4" ht="15.75">
      <c r="B38" s="56"/>
      <c r="C38" s="57"/>
      <c r="D38" s="56"/>
    </row>
    <row r="39" spans="1:4" ht="15.75">
      <c r="A39" s="1" t="s">
        <v>145</v>
      </c>
      <c r="B39" s="59">
        <f>SUM(B33:B37)</f>
        <v>-12403</v>
      </c>
      <c r="C39" s="60"/>
      <c r="D39" s="59">
        <f>SUM(D33:D37)</f>
        <v>-878</v>
      </c>
    </row>
    <row r="40" spans="2:4" ht="15.75">
      <c r="B40" s="56"/>
      <c r="C40" s="57"/>
      <c r="D40" s="56"/>
    </row>
    <row r="41" spans="1:4" ht="15.75">
      <c r="A41" s="1" t="s">
        <v>47</v>
      </c>
      <c r="B41" s="56"/>
      <c r="C41" s="57"/>
      <c r="D41" s="56"/>
    </row>
    <row r="42" spans="1:4" ht="15.75">
      <c r="A42" s="2" t="s">
        <v>33</v>
      </c>
      <c r="B42" s="56">
        <f>-5721-1</f>
        <v>-5722</v>
      </c>
      <c r="C42" s="57"/>
      <c r="D42" s="56">
        <f>-706</f>
        <v>-706</v>
      </c>
    </row>
    <row r="43" spans="1:4" ht="15.75">
      <c r="A43" s="2" t="s">
        <v>136</v>
      </c>
      <c r="B43" s="56">
        <v>401</v>
      </c>
      <c r="C43" s="57"/>
      <c r="D43" s="56">
        <v>5</v>
      </c>
    </row>
    <row r="44" spans="1:4" ht="15.75">
      <c r="A44" s="2" t="s">
        <v>108</v>
      </c>
      <c r="B44" s="61">
        <v>0</v>
      </c>
      <c r="C44" s="57"/>
      <c r="D44" s="32">
        <v>11888</v>
      </c>
    </row>
    <row r="45" spans="1:4" ht="15.75">
      <c r="A45" s="2" t="s">
        <v>137</v>
      </c>
      <c r="B45" s="61">
        <v>0</v>
      </c>
      <c r="C45" s="57"/>
      <c r="D45" s="56">
        <v>5838</v>
      </c>
    </row>
    <row r="46" spans="1:4" ht="15.75">
      <c r="A46" s="2" t="s">
        <v>138</v>
      </c>
      <c r="B46" s="56">
        <f>-1712</f>
        <v>-1712</v>
      </c>
      <c r="C46" s="57"/>
      <c r="D46" s="61">
        <v>0</v>
      </c>
    </row>
    <row r="47" spans="1:4" ht="15.75">
      <c r="A47" s="2" t="s">
        <v>125</v>
      </c>
      <c r="B47" s="56">
        <f>-254</f>
        <v>-254</v>
      </c>
      <c r="C47" s="57"/>
      <c r="D47" s="61">
        <v>0</v>
      </c>
    </row>
    <row r="48" spans="1:4" ht="15.75">
      <c r="A48" s="2" t="s">
        <v>144</v>
      </c>
      <c r="B48" s="61">
        <v>0</v>
      </c>
      <c r="C48" s="57"/>
      <c r="D48" s="56">
        <f>-585</f>
        <v>-585</v>
      </c>
    </row>
    <row r="49" spans="2:4" ht="15.75">
      <c r="B49" s="56"/>
      <c r="C49" s="57"/>
      <c r="D49" s="56"/>
    </row>
    <row r="50" spans="1:4" ht="15.75">
      <c r="A50" s="1" t="s">
        <v>51</v>
      </c>
      <c r="B50" s="59">
        <f>SUM(B42:B49)</f>
        <v>-7287</v>
      </c>
      <c r="C50" s="60"/>
      <c r="D50" s="59">
        <f>SUM(D42:D49)</f>
        <v>16440</v>
      </c>
    </row>
    <row r="51" spans="2:4" ht="15.75">
      <c r="B51" s="56"/>
      <c r="C51" s="57"/>
      <c r="D51" s="56"/>
    </row>
    <row r="52" spans="1:4" ht="15.75">
      <c r="A52" s="1" t="s">
        <v>48</v>
      </c>
      <c r="B52" s="56"/>
      <c r="C52" s="57"/>
      <c r="D52" s="56"/>
    </row>
    <row r="53" spans="1:4" ht="15.75">
      <c r="A53" s="2" t="s">
        <v>109</v>
      </c>
      <c r="B53" s="56">
        <f>-209</f>
        <v>-209</v>
      </c>
      <c r="C53" s="57"/>
      <c r="D53" s="56">
        <f>-186</f>
        <v>-186</v>
      </c>
    </row>
    <row r="54" spans="1:4" ht="15.75">
      <c r="A54" s="2" t="s">
        <v>110</v>
      </c>
      <c r="B54" s="56">
        <v>11563</v>
      </c>
      <c r="C54" s="57"/>
      <c r="D54" s="56">
        <v>570</v>
      </c>
    </row>
    <row r="55" spans="1:4" ht="15.75">
      <c r="A55" s="2" t="s">
        <v>81</v>
      </c>
      <c r="B55" s="56">
        <f>-48</f>
        <v>-48</v>
      </c>
      <c r="C55" s="57"/>
      <c r="D55" s="56">
        <f>-2011</f>
        <v>-2011</v>
      </c>
    </row>
    <row r="56" spans="1:4" ht="15.75">
      <c r="A56" s="2" t="s">
        <v>126</v>
      </c>
      <c r="B56" s="56">
        <v>2976</v>
      </c>
      <c r="C56" s="57"/>
      <c r="D56" s="61">
        <v>0</v>
      </c>
    </row>
    <row r="57" spans="1:4" ht="15.75">
      <c r="A57" s="2" t="s">
        <v>113</v>
      </c>
      <c r="B57" s="56">
        <f>-4040</f>
        <v>-4040</v>
      </c>
      <c r="C57" s="57"/>
      <c r="D57" s="61"/>
    </row>
    <row r="58" spans="2:4" ht="15.75">
      <c r="B58" s="56"/>
      <c r="C58" s="57"/>
      <c r="D58" s="56"/>
    </row>
    <row r="59" spans="1:4" ht="15.75">
      <c r="A59" s="1" t="s">
        <v>78</v>
      </c>
      <c r="B59" s="59">
        <f>SUM(B53:B58)</f>
        <v>10242</v>
      </c>
      <c r="C59" s="60"/>
      <c r="D59" s="59">
        <f>SUM(D53:D58)</f>
        <v>-1627</v>
      </c>
    </row>
    <row r="60" spans="2:4" ht="15.75">
      <c r="B60" s="56"/>
      <c r="C60" s="57"/>
      <c r="D60" s="56"/>
    </row>
    <row r="61" spans="1:4" ht="15.75">
      <c r="A61" s="1" t="s">
        <v>79</v>
      </c>
      <c r="B61" s="56">
        <f>B39+B50+B59</f>
        <v>-9448</v>
      </c>
      <c r="C61" s="57"/>
      <c r="D61" s="56">
        <f>D39+D50+D59</f>
        <v>13935</v>
      </c>
    </row>
    <row r="62" spans="2:4" ht="15.75">
      <c r="B62" s="56"/>
      <c r="C62" s="57"/>
      <c r="D62" s="56"/>
    </row>
    <row r="63" spans="1:4" ht="15.75">
      <c r="A63" s="1" t="s">
        <v>49</v>
      </c>
      <c r="B63" s="56">
        <v>13935</v>
      </c>
      <c r="C63" s="57"/>
      <c r="D63" s="61">
        <v>0</v>
      </c>
    </row>
    <row r="64" spans="1:4" ht="15.75">
      <c r="A64" s="1"/>
      <c r="B64" s="56"/>
      <c r="C64" s="57"/>
      <c r="D64" s="56"/>
    </row>
    <row r="65" spans="1:4" ht="16.5" thickBot="1">
      <c r="A65" s="1" t="s">
        <v>50</v>
      </c>
      <c r="B65" s="62">
        <f>SUM(B61:B63)</f>
        <v>4487</v>
      </c>
      <c r="C65" s="60"/>
      <c r="D65" s="62">
        <f>SUM(D61:D63)</f>
        <v>13935</v>
      </c>
    </row>
    <row r="66" ht="16.5" thickTop="1">
      <c r="D66" s="54"/>
    </row>
    <row r="67" ht="15.75">
      <c r="D67" s="54"/>
    </row>
    <row r="68" spans="1:4" ht="15.75">
      <c r="A68" s="2" t="s">
        <v>99</v>
      </c>
      <c r="D68" s="54"/>
    </row>
    <row r="69" spans="1:4" ht="15.75">
      <c r="A69" s="2" t="s">
        <v>100</v>
      </c>
      <c r="B69" s="32">
        <v>6219</v>
      </c>
      <c r="D69" s="54">
        <v>14971</v>
      </c>
    </row>
    <row r="70" spans="1:4" ht="15.75">
      <c r="A70" s="2" t="s">
        <v>101</v>
      </c>
      <c r="B70" s="56">
        <f>-1732</f>
        <v>-1732</v>
      </c>
      <c r="D70" s="68">
        <f>-1900</f>
        <v>-1900</v>
      </c>
    </row>
    <row r="71" spans="1:4" ht="15.75">
      <c r="A71" s="2" t="s">
        <v>146</v>
      </c>
      <c r="B71" s="61">
        <v>0</v>
      </c>
      <c r="D71" s="54">
        <v>864</v>
      </c>
    </row>
    <row r="72" spans="2:4" ht="16.5" thickBot="1">
      <c r="B72" s="46">
        <f>SUM(B69:B71)</f>
        <v>4487</v>
      </c>
      <c r="D72" s="46">
        <f>SUM(D69:D71)</f>
        <v>13935</v>
      </c>
    </row>
    <row r="73" ht="16.5" thickTop="1">
      <c r="D73" s="54"/>
    </row>
    <row r="75" ht="15.75">
      <c r="A75" s="1" t="s">
        <v>55</v>
      </c>
    </row>
    <row r="76" ht="15.75">
      <c r="A76" s="1" t="s">
        <v>22</v>
      </c>
    </row>
  </sheetData>
  <printOptions/>
  <pageMargins left="0.5" right="0.5" top="0.63" bottom="0.35" header="0.39" footer="0.2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24">
      <selection activeCell="K27" sqref="K27"/>
    </sheetView>
  </sheetViews>
  <sheetFormatPr defaultColWidth="9.140625" defaultRowHeight="12.75"/>
  <cols>
    <col min="1" max="1" width="36.140625" style="3" customWidth="1"/>
    <col min="2" max="2" width="16.00390625" style="3" customWidth="1"/>
    <col min="3" max="3" width="2.140625" style="3" customWidth="1"/>
    <col min="4" max="4" width="17.00390625" style="3" customWidth="1"/>
    <col min="5" max="5" width="2.28125" style="3" customWidth="1"/>
    <col min="6" max="6" width="16.7109375" style="3" bestFit="1" customWidth="1"/>
    <col min="7" max="7" width="2.421875" style="3" customWidth="1"/>
    <col min="8" max="8" width="14.28125" style="3" customWidth="1"/>
    <col min="9" max="16384" width="9.140625" style="3" customWidth="1"/>
  </cols>
  <sheetData>
    <row r="1" ht="18.75">
      <c r="A1" s="19" t="s">
        <v>6</v>
      </c>
    </row>
    <row r="2" ht="15.75">
      <c r="A2" s="20" t="s">
        <v>56</v>
      </c>
    </row>
    <row r="3" ht="15.75">
      <c r="A3" s="9"/>
    </row>
    <row r="4" ht="15.75">
      <c r="A4" s="4" t="s">
        <v>34</v>
      </c>
    </row>
    <row r="5" ht="15.75">
      <c r="A5" s="4"/>
    </row>
    <row r="7" spans="2:8" ht="15.75">
      <c r="B7" s="5" t="s">
        <v>12</v>
      </c>
      <c r="C7" s="5"/>
      <c r="D7" s="5" t="s">
        <v>20</v>
      </c>
      <c r="E7" s="5"/>
      <c r="F7" s="5" t="s">
        <v>35</v>
      </c>
      <c r="G7" s="5"/>
      <c r="H7" s="5" t="s">
        <v>8</v>
      </c>
    </row>
    <row r="8" spans="2:8" ht="15.75">
      <c r="B8" s="5" t="s">
        <v>9</v>
      </c>
      <c r="C8" s="5"/>
      <c r="D8" s="5" t="s">
        <v>9</v>
      </c>
      <c r="E8" s="5"/>
      <c r="F8" s="5" t="s">
        <v>9</v>
      </c>
      <c r="G8" s="5"/>
      <c r="H8" s="5" t="s">
        <v>9</v>
      </c>
    </row>
    <row r="9" spans="2:8" ht="15.75">
      <c r="B9" s="5"/>
      <c r="C9" s="5"/>
      <c r="D9" s="5"/>
      <c r="E9" s="5"/>
      <c r="F9" s="5"/>
      <c r="G9" s="5"/>
      <c r="H9" s="5"/>
    </row>
    <row r="10" spans="1:8" ht="15.75">
      <c r="A10" s="4" t="s">
        <v>70</v>
      </c>
      <c r="B10" s="27" t="s">
        <v>71</v>
      </c>
      <c r="C10" s="25"/>
      <c r="D10" s="25">
        <v>0</v>
      </c>
      <c r="E10" s="21"/>
      <c r="F10" s="24">
        <f>-6</f>
        <v>-6</v>
      </c>
      <c r="G10" s="24"/>
      <c r="H10" s="24">
        <f>SUM(B10:F10)</f>
        <v>-6</v>
      </c>
    </row>
    <row r="11" spans="2:8" ht="15.75">
      <c r="B11" s="21"/>
      <c r="C11" s="21"/>
      <c r="D11" s="21"/>
      <c r="E11" s="21"/>
      <c r="F11" s="21"/>
      <c r="G11" s="21"/>
      <c r="H11" s="21"/>
    </row>
    <row r="12" spans="1:8" ht="15.75">
      <c r="A12" s="3" t="s">
        <v>72</v>
      </c>
      <c r="B12" s="22">
        <v>40000</v>
      </c>
      <c r="C12" s="22"/>
      <c r="D12" s="22">
        <v>9000</v>
      </c>
      <c r="E12" s="22"/>
      <c r="F12" s="22">
        <v>0</v>
      </c>
      <c r="G12" s="22"/>
      <c r="H12" s="22">
        <f>SUM(B12:F12)</f>
        <v>49000</v>
      </c>
    </row>
    <row r="13" spans="2:8" ht="15.75">
      <c r="B13" s="22"/>
      <c r="C13" s="22"/>
      <c r="D13" s="22"/>
      <c r="E13" s="22"/>
      <c r="F13" s="22"/>
      <c r="G13" s="22"/>
      <c r="H13" s="22"/>
    </row>
    <row r="14" spans="1:8" ht="15.75">
      <c r="A14" s="3" t="s">
        <v>73</v>
      </c>
      <c r="B14" s="22">
        <v>0</v>
      </c>
      <c r="C14" s="22"/>
      <c r="D14" s="26">
        <f>-2011</f>
        <v>-2011</v>
      </c>
      <c r="E14" s="26"/>
      <c r="F14" s="67">
        <v>0</v>
      </c>
      <c r="G14" s="26"/>
      <c r="H14" s="26">
        <f>SUM(B14:F14)</f>
        <v>-2011</v>
      </c>
    </row>
    <row r="15" spans="2:8" ht="15.75">
      <c r="B15" s="22"/>
      <c r="C15" s="22"/>
      <c r="D15" s="22"/>
      <c r="E15" s="22"/>
      <c r="F15" s="22"/>
      <c r="G15" s="22"/>
      <c r="H15" s="22"/>
    </row>
    <row r="16" spans="1:8" ht="15.75">
      <c r="A16" s="3" t="s">
        <v>74</v>
      </c>
      <c r="B16" s="22">
        <v>0</v>
      </c>
      <c r="C16" s="22"/>
      <c r="D16" s="22">
        <v>0</v>
      </c>
      <c r="E16" s="22"/>
      <c r="F16" s="22">
        <v>3441</v>
      </c>
      <c r="G16" s="22"/>
      <c r="H16" s="22">
        <f>SUM(B16:F16)</f>
        <v>3441</v>
      </c>
    </row>
    <row r="17" spans="2:8" ht="15.75">
      <c r="B17" s="23"/>
      <c r="C17" s="22"/>
      <c r="D17" s="23"/>
      <c r="E17" s="22"/>
      <c r="F17" s="23"/>
      <c r="G17" s="22"/>
      <c r="H17" s="23"/>
    </row>
    <row r="18" spans="1:8" ht="15.75">
      <c r="A18" s="4" t="s">
        <v>75</v>
      </c>
      <c r="B18" s="6">
        <v>40000</v>
      </c>
      <c r="C18" s="6"/>
      <c r="D18" s="6">
        <v>6989</v>
      </c>
      <c r="E18" s="6"/>
      <c r="F18" s="6">
        <v>3435</v>
      </c>
      <c r="G18" s="6"/>
      <c r="H18" s="6">
        <f>SUM(B18:F18)</f>
        <v>50424</v>
      </c>
    </row>
    <row r="19" spans="2:8" ht="15.75">
      <c r="B19" s="6"/>
      <c r="C19" s="6"/>
      <c r="D19" s="6"/>
      <c r="E19" s="6"/>
      <c r="F19" s="6"/>
      <c r="G19" s="6"/>
      <c r="H19" s="6"/>
    </row>
    <row r="20" spans="1:8" ht="15.75">
      <c r="A20" s="3" t="s">
        <v>102</v>
      </c>
      <c r="B20" s="6">
        <f>B30-B18</f>
        <v>0</v>
      </c>
      <c r="C20" s="6"/>
      <c r="D20" s="10">
        <f>D30-D18</f>
        <v>-48</v>
      </c>
      <c r="E20" s="6"/>
      <c r="F20" s="6">
        <f>F30-F18-F24-F27</f>
        <v>8901</v>
      </c>
      <c r="G20" s="6"/>
      <c r="H20" s="6">
        <f>SUM(B20:F20)</f>
        <v>8853</v>
      </c>
    </row>
    <row r="21" spans="2:8" ht="15.75">
      <c r="B21" s="6"/>
      <c r="C21" s="6"/>
      <c r="D21" s="10"/>
      <c r="E21" s="6"/>
      <c r="F21" s="6"/>
      <c r="G21" s="6"/>
      <c r="H21" s="6"/>
    </row>
    <row r="22" spans="1:8" ht="15.75">
      <c r="A22" s="3" t="s">
        <v>103</v>
      </c>
      <c r="B22" s="6"/>
      <c r="C22" s="6"/>
      <c r="D22" s="10"/>
      <c r="E22" s="6"/>
      <c r="F22" s="6"/>
      <c r="G22" s="6"/>
      <c r="H22" s="6"/>
    </row>
    <row r="23" spans="1:8" ht="15.75">
      <c r="A23" s="3" t="s">
        <v>104</v>
      </c>
      <c r="B23" s="6"/>
      <c r="C23" s="6"/>
      <c r="D23" s="10"/>
      <c r="E23" s="6"/>
      <c r="F23" s="6"/>
      <c r="G23" s="6"/>
      <c r="H23" s="6"/>
    </row>
    <row r="24" spans="1:8" ht="15.75">
      <c r="A24" s="3" t="s">
        <v>105</v>
      </c>
      <c r="B24" s="6"/>
      <c r="C24" s="6"/>
      <c r="D24" s="10"/>
      <c r="E24" s="6"/>
      <c r="F24" s="10">
        <f>-1440</f>
        <v>-1440</v>
      </c>
      <c r="G24" s="10"/>
      <c r="H24" s="10">
        <f>SUM(B24:F24)</f>
        <v>-1440</v>
      </c>
    </row>
    <row r="25" spans="2:8" ht="15.75">
      <c r="B25" s="6"/>
      <c r="C25" s="6"/>
      <c r="D25" s="10"/>
      <c r="E25" s="6"/>
      <c r="F25" s="10"/>
      <c r="G25" s="10"/>
      <c r="H25" s="10"/>
    </row>
    <row r="26" spans="1:8" ht="15.75">
      <c r="A26" s="3" t="s">
        <v>106</v>
      </c>
      <c r="B26" s="6"/>
      <c r="C26" s="6"/>
      <c r="D26" s="10"/>
      <c r="E26" s="6"/>
      <c r="F26" s="10"/>
      <c r="G26" s="10"/>
      <c r="H26" s="10"/>
    </row>
    <row r="27" spans="1:8" ht="15.75">
      <c r="A27" s="3" t="s">
        <v>107</v>
      </c>
      <c r="B27" s="6"/>
      <c r="C27" s="6"/>
      <c r="D27" s="10"/>
      <c r="E27" s="6"/>
      <c r="F27" s="10">
        <f>-2600</f>
        <v>-2600</v>
      </c>
      <c r="G27" s="10"/>
      <c r="H27" s="10">
        <f>SUM(B27:F27)</f>
        <v>-2600</v>
      </c>
    </row>
    <row r="28" spans="2:8" ht="15.75">
      <c r="B28" s="6"/>
      <c r="C28" s="6"/>
      <c r="D28" s="10"/>
      <c r="E28" s="6"/>
      <c r="F28" s="6"/>
      <c r="G28" s="6"/>
      <c r="H28" s="6"/>
    </row>
    <row r="29" spans="2:8" ht="15.75">
      <c r="B29" s="6"/>
      <c r="C29" s="6"/>
      <c r="D29" s="6"/>
      <c r="E29" s="6"/>
      <c r="F29" s="6"/>
      <c r="G29" s="6"/>
      <c r="H29" s="6"/>
    </row>
    <row r="30" spans="1:8" ht="16.5" thickBot="1">
      <c r="A30" s="4" t="s">
        <v>124</v>
      </c>
      <c r="B30" s="8">
        <v>40000</v>
      </c>
      <c r="C30" s="6"/>
      <c r="D30" s="8">
        <v>6941</v>
      </c>
      <c r="E30" s="6"/>
      <c r="F30" s="8">
        <v>8296</v>
      </c>
      <c r="G30" s="6"/>
      <c r="H30" s="8">
        <f>SUM(B30:F30)</f>
        <v>55237</v>
      </c>
    </row>
    <row r="31" ht="16.5" thickTop="1"/>
    <row r="33" ht="15.75">
      <c r="A33" s="3" t="s">
        <v>76</v>
      </c>
    </row>
    <row r="36" ht="15.75">
      <c r="A36" s="4" t="s">
        <v>53</v>
      </c>
    </row>
    <row r="37" ht="15.75">
      <c r="A37" s="4" t="s">
        <v>52</v>
      </c>
    </row>
  </sheetData>
  <printOptions/>
  <pageMargins left="0.5" right="0.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PRESS METAL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 METAL SDN BHD</dc:creator>
  <cp:keywords/>
  <dc:description/>
  <cp:lastModifiedBy>M &amp; C Services Sdn Bhd</cp:lastModifiedBy>
  <cp:lastPrinted>2005-02-22T06:34:32Z</cp:lastPrinted>
  <dcterms:created xsi:type="dcterms:W3CDTF">2000-01-03T01:56:45Z</dcterms:created>
  <dcterms:modified xsi:type="dcterms:W3CDTF">2005-02-22T09:49:25Z</dcterms:modified>
  <cp:category/>
  <cp:version/>
  <cp:contentType/>
  <cp:contentStatus/>
</cp:coreProperties>
</file>